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Standard Model" sheetId="1" r:id="rId1"/>
    <sheet name="Sheet2" sheetId="2" r:id="rId2"/>
    <sheet name="Sheet3" sheetId="3" r:id="rId3"/>
  </sheets>
  <definedNames>
    <definedName name="_xlnm.Print_Area" localSheetId="0">'Standard Model'!$A$4:$T$58</definedName>
  </definedNames>
  <calcPr fullCalcOnLoad="1"/>
</workbook>
</file>

<file path=xl/sharedStrings.xml><?xml version="1.0" encoding="utf-8"?>
<sst xmlns="http://schemas.openxmlformats.org/spreadsheetml/2006/main" count="108" uniqueCount="96">
  <si>
    <t>Generation</t>
  </si>
  <si>
    <t>Annual Generation</t>
  </si>
  <si>
    <t>Average Tariff</t>
  </si>
  <si>
    <t>Operating Costs</t>
  </si>
  <si>
    <t>KW</t>
  </si>
  <si>
    <t>Exchange Rate</t>
  </si>
  <si>
    <t>Project IRR</t>
  </si>
  <si>
    <t>Years</t>
  </si>
  <si>
    <t>Capital Structure</t>
  </si>
  <si>
    <t>Capacity Factor</t>
  </si>
  <si>
    <t>Total Investment</t>
  </si>
  <si>
    <t># Connections</t>
  </si>
  <si>
    <t>Construction Time</t>
  </si>
  <si>
    <t>Equity Share</t>
  </si>
  <si>
    <t>Schedule</t>
  </si>
  <si>
    <t>Maintenance</t>
  </si>
  <si>
    <t xml:space="preserve">Construction </t>
  </si>
  <si>
    <t>%</t>
  </si>
  <si>
    <t>Other</t>
  </si>
  <si>
    <t>Operations</t>
  </si>
  <si>
    <t>Loan Grace Period</t>
  </si>
  <si>
    <t>Loan Term</t>
  </si>
  <si>
    <t>Total</t>
  </si>
  <si>
    <t>Tariff inflation</t>
  </si>
  <si>
    <t>Capital Investments</t>
  </si>
  <si>
    <t>$ / W</t>
  </si>
  <si>
    <t>CPI</t>
  </si>
  <si>
    <t>Equity IRR</t>
  </si>
  <si>
    <t>c/ kwh</t>
  </si>
  <si>
    <t>Collection Efficiency</t>
  </si>
  <si>
    <t>WACC***</t>
  </si>
  <si>
    <t>Distribution losses</t>
  </si>
  <si>
    <t>Terminal value</t>
  </si>
  <si>
    <t>times exit FCF</t>
  </si>
  <si>
    <t>Output Per Watt</t>
  </si>
  <si>
    <t>Kwh / W</t>
  </si>
  <si>
    <t>Capital Recovery</t>
  </si>
  <si>
    <t>Cost recovery Tariff</t>
  </si>
  <si>
    <t>Cash Flow $ '000s</t>
  </si>
  <si>
    <t>Investment</t>
  </si>
  <si>
    <t>Increase in WC</t>
  </si>
  <si>
    <t>Total Revenues</t>
  </si>
  <si>
    <t>Depreciation</t>
  </si>
  <si>
    <t>Effective tax</t>
  </si>
  <si>
    <t>Loan Payments</t>
  </si>
  <si>
    <t>Interest</t>
  </si>
  <si>
    <t>Principal</t>
  </si>
  <si>
    <t>Loan Balance</t>
  </si>
  <si>
    <t>Equity CF</t>
  </si>
  <si>
    <t>DSCR</t>
  </si>
  <si>
    <t>* PV at year 15 for revenues from year 16-25</t>
  </si>
  <si>
    <t>*** WACC = Equity share * ROE + Debt Share * Loan rate * (1- tax rate)</t>
  </si>
  <si>
    <t>Project Notes</t>
  </si>
  <si>
    <t xml:space="preserve">Note: All figures (otherwise stated) quoted in constant dollars (assuming constant exchange rates) to faciliate easy understanding </t>
  </si>
  <si>
    <t>TSH / USD</t>
  </si>
  <si>
    <t>Soft Costs</t>
  </si>
  <si>
    <t>Required returns</t>
  </si>
  <si>
    <t>REA Grants</t>
  </si>
  <si>
    <t>Outputs</t>
  </si>
  <si>
    <t>Other Inputs</t>
  </si>
  <si>
    <t>Revenues</t>
  </si>
  <si>
    <t>Project Inputs</t>
  </si>
  <si>
    <t>Tanesco</t>
  </si>
  <si>
    <t>Loan Rate</t>
  </si>
  <si>
    <t>Carbon Revenues</t>
  </si>
  <si>
    <t>Generation Costs</t>
  </si>
  <si>
    <t>Salaries</t>
  </si>
  <si>
    <t>Fuel Costs</t>
  </si>
  <si>
    <t>Project NPV</t>
  </si>
  <si>
    <t>Equity NPV</t>
  </si>
  <si>
    <t>Project Returns</t>
  </si>
  <si>
    <t>Inputs</t>
  </si>
  <si>
    <t>Plant Capacity</t>
  </si>
  <si>
    <t>TSH Mn</t>
  </si>
  <si>
    <t>USD 000s</t>
  </si>
  <si>
    <t>Tsh /kwh</t>
  </si>
  <si>
    <t>US c/kwh</t>
  </si>
  <si>
    <t>US c /kwh</t>
  </si>
  <si>
    <t>Mwh</t>
  </si>
  <si>
    <t>Investment (excl. grants)</t>
  </si>
  <si>
    <t>Other Assumptions</t>
  </si>
  <si>
    <t>Depreciation period</t>
  </si>
  <si>
    <t>Corporate Tax rate</t>
  </si>
  <si>
    <t>Tax holiday</t>
  </si>
  <si>
    <t>Grid Connection</t>
  </si>
  <si>
    <t>Grid Extension</t>
  </si>
  <si>
    <t>Households &amp; Inst.</t>
  </si>
  <si>
    <t xml:space="preserve">Business </t>
  </si>
  <si>
    <t>Equity</t>
  </si>
  <si>
    <t>REA grant</t>
  </si>
  <si>
    <t>Loan</t>
  </si>
  <si>
    <t>Revenue (c/ kwh)</t>
  </si>
  <si>
    <t>Residual
Value*</t>
  </si>
  <si>
    <t>Operating Cash flow</t>
  </si>
  <si>
    <t>Debt</t>
  </si>
  <si>
    <t>TSH / kwh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</si>
</sst>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_(* #,##0.0_);_(* \(#,##0.0\);_(* &quot;-&quot;??_);_(@_)"/>
    <numFmt numFmtId="169" formatCode="_(* #,##0_);_(* \(#,##0\);_(* &quot;-&quot;??_);_(@_)"/>
    <numFmt numFmtId="170" formatCode="0.000"/>
    <numFmt numFmtId="171" formatCode="0.0"/>
    <numFmt numFmtId="172" formatCode="#,##0.00000000000"/>
    <numFmt numFmtId="173" formatCode="#,##0.000000000000"/>
    <numFmt numFmtId="174" formatCode="&quot;$&quot;#,##0.0_);[Red]\(&quot;$&quot;#,##0.0\)"/>
    <numFmt numFmtId="175" formatCode="0.0%"/>
    <numFmt numFmtId="176" formatCode="#,##0.0_);\(#,##0.0\)"/>
    <numFmt numFmtId="177" formatCode="&quot;$&quot;#,##0.000_);[Red]\(&quot;$&quot;#,##0.000\)"/>
    <numFmt numFmtId="178" formatCode="#,##0.0_);[Red]\(#,##0.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 style="thin">
        <color rgb="FF0070C0"/>
      </right>
      <top>
        <color indexed="63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70C0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2" fillId="0" borderId="0" xfId="56">
      <alignment/>
      <protection/>
    </xf>
    <xf numFmtId="0" fontId="4" fillId="0" borderId="0" xfId="56" applyFont="1">
      <alignment/>
      <protection/>
    </xf>
    <xf numFmtId="0" fontId="2" fillId="0" borderId="0" xfId="56" applyFill="1" applyBorder="1">
      <alignment/>
      <protection/>
    </xf>
    <xf numFmtId="0" fontId="3" fillId="0" borderId="0" xfId="56" applyFont="1" applyFill="1" applyBorder="1">
      <alignment/>
      <protection/>
    </xf>
    <xf numFmtId="0" fontId="2" fillId="0" borderId="0" xfId="56" applyBorder="1" applyAlignment="1">
      <alignment horizontal="center"/>
      <protection/>
    </xf>
    <xf numFmtId="0" fontId="2" fillId="0" borderId="0" xfId="56" applyBorder="1">
      <alignment/>
      <protection/>
    </xf>
    <xf numFmtId="0" fontId="2" fillId="0" borderId="0" xfId="56" applyFont="1" applyFill="1" applyBorder="1">
      <alignment/>
      <protection/>
    </xf>
    <xf numFmtId="9" fontId="2" fillId="0" borderId="0" xfId="56" applyNumberFormat="1" applyBorder="1" applyAlignment="1">
      <alignment horizontal="center"/>
      <protection/>
    </xf>
    <xf numFmtId="0" fontId="5" fillId="0" borderId="0" xfId="56" applyFont="1" applyFill="1" applyBorder="1">
      <alignment/>
      <protection/>
    </xf>
    <xf numFmtId="0" fontId="2" fillId="0" borderId="0" xfId="56" applyFill="1" applyBorder="1" applyAlignment="1">
      <alignment horizontal="center"/>
      <protection/>
    </xf>
    <xf numFmtId="6" fontId="2" fillId="0" borderId="0" xfId="56" applyNumberFormat="1" applyFill="1" applyBorder="1" applyAlignment="1">
      <alignment horizontal="center"/>
      <protection/>
    </xf>
    <xf numFmtId="8" fontId="2" fillId="0" borderId="0" xfId="56" applyNumberFormat="1" applyFill="1" applyBorder="1" applyAlignment="1">
      <alignment horizontal="center"/>
      <protection/>
    </xf>
    <xf numFmtId="2" fontId="2" fillId="0" borderId="0" xfId="56" applyNumberFormat="1" applyBorder="1" applyAlignment="1">
      <alignment horizontal="center"/>
      <protection/>
    </xf>
    <xf numFmtId="0" fontId="2" fillId="0" borderId="10" xfId="56" applyFill="1" applyBorder="1">
      <alignment/>
      <protection/>
    </xf>
    <xf numFmtId="6" fontId="2" fillId="0" borderId="10" xfId="56" applyNumberFormat="1" applyFill="1" applyBorder="1" applyAlignment="1">
      <alignment horizontal="center"/>
      <protection/>
    </xf>
    <xf numFmtId="6" fontId="2" fillId="0" borderId="0" xfId="56" applyNumberFormat="1" applyBorder="1" applyAlignment="1">
      <alignment horizontal="center"/>
      <protection/>
    </xf>
    <xf numFmtId="6" fontId="2" fillId="0" borderId="0" xfId="56" applyNumberFormat="1">
      <alignment/>
      <protection/>
    </xf>
    <xf numFmtId="9" fontId="2" fillId="0" borderId="0" xfId="56" applyNumberFormat="1">
      <alignment/>
      <protection/>
    </xf>
    <xf numFmtId="39" fontId="2" fillId="0" borderId="0" xfId="44" applyNumberFormat="1" applyFont="1" applyFill="1" applyBorder="1" applyAlignment="1">
      <alignment horizontal="center"/>
    </xf>
    <xf numFmtId="175" fontId="2" fillId="0" borderId="0" xfId="56" applyNumberFormat="1" applyFill="1" applyBorder="1">
      <alignment/>
      <protection/>
    </xf>
    <xf numFmtId="0" fontId="2" fillId="0" borderId="10" xfId="56" applyBorder="1">
      <alignment/>
      <protection/>
    </xf>
    <xf numFmtId="0" fontId="3" fillId="0" borderId="0" xfId="56" applyFont="1">
      <alignment/>
      <protection/>
    </xf>
    <xf numFmtId="9" fontId="2" fillId="0" borderId="0" xfId="60" applyFont="1" applyFill="1" applyBorder="1" applyAlignment="1">
      <alignment horizontal="left"/>
    </xf>
    <xf numFmtId="0" fontId="25" fillId="0" borderId="0" xfId="33" applyFill="1" applyBorder="1" applyAlignment="1">
      <alignment/>
    </xf>
    <xf numFmtId="0" fontId="41" fillId="0" borderId="0" xfId="56" applyFont="1" applyFill="1" applyBorder="1">
      <alignment/>
      <protection/>
    </xf>
    <xf numFmtId="171" fontId="5" fillId="0" borderId="0" xfId="56" applyNumberFormat="1" applyFont="1" applyFill="1" applyBorder="1" applyAlignment="1">
      <alignment horizontal="center"/>
      <protection/>
    </xf>
    <xf numFmtId="0" fontId="2" fillId="0" borderId="11" xfId="56" applyFill="1" applyBorder="1">
      <alignment/>
      <protection/>
    </xf>
    <xf numFmtId="0" fontId="2" fillId="0" borderId="12" xfId="56" applyFont="1" applyFill="1" applyBorder="1">
      <alignment/>
      <protection/>
    </xf>
    <xf numFmtId="0" fontId="2" fillId="0" borderId="12" xfId="56" applyFill="1" applyBorder="1" applyAlignment="1">
      <alignment horizontal="left"/>
      <protection/>
    </xf>
    <xf numFmtId="0" fontId="2" fillId="0" borderId="12" xfId="56" applyFill="1" applyBorder="1">
      <alignment/>
      <protection/>
    </xf>
    <xf numFmtId="0" fontId="25" fillId="0" borderId="11" xfId="33" applyFill="1" applyBorder="1" applyAlignment="1">
      <alignment/>
    </xf>
    <xf numFmtId="0" fontId="2" fillId="0" borderId="13" xfId="56" applyFill="1" applyBorder="1">
      <alignment/>
      <protection/>
    </xf>
    <xf numFmtId="0" fontId="2" fillId="0" borderId="14" xfId="56" applyFill="1" applyBorder="1">
      <alignment/>
      <protection/>
    </xf>
    <xf numFmtId="0" fontId="2" fillId="0" borderId="15" xfId="56" applyFill="1" applyBorder="1">
      <alignment/>
      <protection/>
    </xf>
    <xf numFmtId="0" fontId="3" fillId="0" borderId="11" xfId="56" applyFont="1" applyFill="1" applyBorder="1">
      <alignment/>
      <protection/>
    </xf>
    <xf numFmtId="9" fontId="0" fillId="0" borderId="11" xfId="60" applyFont="1" applyFill="1" applyBorder="1" applyAlignment="1">
      <alignment/>
    </xf>
    <xf numFmtId="0" fontId="2" fillId="0" borderId="12" xfId="56" applyFont="1" applyFill="1" applyBorder="1" applyAlignment="1">
      <alignment horizontal="left"/>
      <protection/>
    </xf>
    <xf numFmtId="0" fontId="2" fillId="0" borderId="0" xfId="56" applyFill="1" applyBorder="1" applyAlignment="1">
      <alignment horizontal="left"/>
      <protection/>
    </xf>
    <xf numFmtId="0" fontId="2" fillId="0" borderId="0" xfId="56" applyFont="1" applyBorder="1">
      <alignment/>
      <protection/>
    </xf>
    <xf numFmtId="0" fontId="2" fillId="0" borderId="0" xfId="56" applyFont="1" applyFill="1" applyBorder="1" applyAlignment="1">
      <alignment horizontal="left"/>
      <protection/>
    </xf>
    <xf numFmtId="0" fontId="2" fillId="0" borderId="12" xfId="56" applyBorder="1">
      <alignment/>
      <protection/>
    </xf>
    <xf numFmtId="0" fontId="2" fillId="0" borderId="11" xfId="56" applyBorder="1">
      <alignment/>
      <protection/>
    </xf>
    <xf numFmtId="0" fontId="2" fillId="0" borderId="13" xfId="56" applyBorder="1">
      <alignment/>
      <protection/>
    </xf>
    <xf numFmtId="0" fontId="2" fillId="0" borderId="14" xfId="56" applyBorder="1">
      <alignment/>
      <protection/>
    </xf>
    <xf numFmtId="0" fontId="2" fillId="0" borderId="12" xfId="56" applyFont="1" applyBorder="1">
      <alignment/>
      <protection/>
    </xf>
    <xf numFmtId="0" fontId="42" fillId="20" borderId="16" xfId="56" applyFont="1" applyFill="1" applyBorder="1">
      <alignment/>
      <protection/>
    </xf>
    <xf numFmtId="0" fontId="41" fillId="20" borderId="17" xfId="56" applyFont="1" applyFill="1" applyBorder="1">
      <alignment/>
      <protection/>
    </xf>
    <xf numFmtId="0" fontId="42" fillId="20" borderId="17" xfId="56" applyFont="1" applyFill="1" applyBorder="1">
      <alignment/>
      <protection/>
    </xf>
    <xf numFmtId="0" fontId="41" fillId="20" borderId="18" xfId="56" applyFont="1" applyFill="1" applyBorder="1">
      <alignment/>
      <protection/>
    </xf>
    <xf numFmtId="0" fontId="42" fillId="20" borderId="17" xfId="56" applyFont="1" applyFill="1" applyBorder="1" applyAlignment="1">
      <alignment horizontal="center"/>
      <protection/>
    </xf>
    <xf numFmtId="0" fontId="42" fillId="20" borderId="18" xfId="56" applyFont="1" applyFill="1" applyBorder="1" applyAlignment="1">
      <alignment horizontal="center"/>
      <protection/>
    </xf>
    <xf numFmtId="0" fontId="3" fillId="33" borderId="0" xfId="56" applyFont="1" applyFill="1">
      <alignment/>
      <protection/>
    </xf>
    <xf numFmtId="0" fontId="2" fillId="33" borderId="0" xfId="56" applyFill="1">
      <alignment/>
      <protection/>
    </xf>
    <xf numFmtId="0" fontId="2" fillId="33" borderId="0" xfId="56" applyFill="1" applyBorder="1" applyAlignment="1">
      <alignment horizontal="center"/>
      <protection/>
    </xf>
    <xf numFmtId="9" fontId="2" fillId="33" borderId="0" xfId="56" applyNumberFormat="1" applyFont="1" applyFill="1" applyBorder="1" applyAlignment="1">
      <alignment horizontal="center"/>
      <protection/>
    </xf>
    <xf numFmtId="38" fontId="2" fillId="33" borderId="0" xfId="56" applyNumberFormat="1" applyFill="1" applyBorder="1" applyAlignment="1">
      <alignment horizontal="center"/>
      <protection/>
    </xf>
    <xf numFmtId="9" fontId="2" fillId="33" borderId="0" xfId="56" applyNumberFormat="1" applyFill="1" applyBorder="1" applyAlignment="1">
      <alignment horizontal="center"/>
      <protection/>
    </xf>
    <xf numFmtId="0" fontId="2" fillId="33" borderId="0" xfId="56" applyFont="1" applyFill="1" applyBorder="1" applyAlignment="1">
      <alignment horizontal="center"/>
      <protection/>
    </xf>
    <xf numFmtId="175" fontId="2" fillId="33" borderId="0" xfId="56" applyNumberFormat="1" applyFont="1" applyFill="1" applyBorder="1" applyAlignment="1">
      <alignment horizontal="center"/>
      <protection/>
    </xf>
    <xf numFmtId="175" fontId="2" fillId="33" borderId="0" xfId="60" applyNumberFormat="1" applyFont="1" applyFill="1" applyBorder="1" applyAlignment="1">
      <alignment horizontal="center"/>
    </xf>
    <xf numFmtId="171" fontId="2" fillId="33" borderId="0" xfId="56" applyNumberFormat="1" applyFill="1" applyBorder="1" applyAlignment="1">
      <alignment horizontal="center"/>
      <protection/>
    </xf>
    <xf numFmtId="171" fontId="2" fillId="33" borderId="0" xfId="56" applyNumberFormat="1" applyFont="1" applyFill="1" applyBorder="1" applyAlignment="1">
      <alignment horizontal="center"/>
      <protection/>
    </xf>
    <xf numFmtId="0" fontId="2" fillId="34" borderId="0" xfId="56" applyFill="1" applyBorder="1">
      <alignment/>
      <protection/>
    </xf>
    <xf numFmtId="6" fontId="2" fillId="34" borderId="0" xfId="56" applyNumberFormat="1" applyFill="1" applyBorder="1" applyAlignment="1">
      <alignment horizontal="center"/>
      <protection/>
    </xf>
    <xf numFmtId="175" fontId="2" fillId="34" borderId="0" xfId="56" applyNumberFormat="1" applyFont="1" applyFill="1" applyBorder="1" applyAlignment="1">
      <alignment horizontal="center"/>
      <protection/>
    </xf>
    <xf numFmtId="38" fontId="2" fillId="34" borderId="0" xfId="56" applyNumberFormat="1" applyFill="1" applyBorder="1" applyAlignment="1">
      <alignment horizontal="center"/>
      <protection/>
    </xf>
    <xf numFmtId="0" fontId="2" fillId="34" borderId="0" xfId="56" applyFont="1" applyFill="1" applyBorder="1" applyAlignment="1">
      <alignment horizontal="center"/>
      <protection/>
    </xf>
    <xf numFmtId="2" fontId="2" fillId="34" borderId="0" xfId="56" applyNumberFormat="1" applyFont="1" applyFill="1" applyBorder="1" applyAlignment="1">
      <alignment horizontal="center"/>
      <protection/>
    </xf>
    <xf numFmtId="171" fontId="2" fillId="34" borderId="0" xfId="56" applyNumberFormat="1" applyFont="1" applyFill="1" applyBorder="1" applyAlignment="1">
      <alignment horizontal="center"/>
      <protection/>
    </xf>
    <xf numFmtId="9" fontId="2" fillId="34" borderId="0" xfId="60" applyFont="1" applyFill="1" applyBorder="1" applyAlignment="1">
      <alignment horizontal="center"/>
    </xf>
    <xf numFmtId="6" fontId="2" fillId="34" borderId="0" xfId="56" applyNumberFormat="1" applyFont="1" applyFill="1" applyBorder="1" applyAlignment="1">
      <alignment horizontal="center"/>
      <protection/>
    </xf>
    <xf numFmtId="9" fontId="2" fillId="34" borderId="0" xfId="56" applyNumberFormat="1" applyFont="1" applyFill="1" applyBorder="1" applyAlignment="1">
      <alignment horizontal="center"/>
      <protection/>
    </xf>
    <xf numFmtId="9" fontId="2" fillId="34" borderId="11" xfId="56" applyNumberFormat="1" applyFont="1" applyFill="1" applyBorder="1" applyAlignment="1">
      <alignment horizontal="center"/>
      <protection/>
    </xf>
    <xf numFmtId="0" fontId="2" fillId="0" borderId="19" xfId="56" applyFont="1" applyBorder="1">
      <alignment/>
      <protection/>
    </xf>
    <xf numFmtId="0" fontId="2" fillId="0" borderId="19" xfId="56" applyFill="1" applyBorder="1">
      <alignment/>
      <protection/>
    </xf>
    <xf numFmtId="39" fontId="2" fillId="34" borderId="10" xfId="44" applyNumberFormat="1" applyFont="1" applyFill="1" applyBorder="1" applyAlignment="1">
      <alignment horizontal="center"/>
    </xf>
    <xf numFmtId="0" fontId="2" fillId="0" borderId="19" xfId="56" applyFont="1" applyFill="1" applyBorder="1">
      <alignment/>
      <protection/>
    </xf>
    <xf numFmtId="9" fontId="2" fillId="33" borderId="10" xfId="56" applyNumberFormat="1" applyFont="1" applyFill="1" applyBorder="1" applyAlignment="1">
      <alignment horizontal="center"/>
      <protection/>
    </xf>
    <xf numFmtId="171" fontId="2" fillId="33" borderId="10" xfId="56" applyNumberFormat="1" applyFont="1" applyFill="1" applyBorder="1" applyAlignment="1">
      <alignment horizontal="center"/>
      <protection/>
    </xf>
    <xf numFmtId="38" fontId="2" fillId="33" borderId="10" xfId="56" applyNumberFormat="1" applyFill="1" applyBorder="1" applyAlignment="1">
      <alignment horizontal="center"/>
      <protection/>
    </xf>
    <xf numFmtId="6" fontId="2" fillId="34" borderId="10" xfId="56" applyNumberFormat="1" applyFont="1" applyFill="1" applyBorder="1" applyAlignment="1">
      <alignment horizontal="center"/>
      <protection/>
    </xf>
    <xf numFmtId="38" fontId="2" fillId="33" borderId="0" xfId="56" applyNumberFormat="1" applyFont="1" applyFill="1" applyBorder="1" applyAlignment="1">
      <alignment horizontal="center"/>
      <protection/>
    </xf>
    <xf numFmtId="2" fontId="2" fillId="34" borderId="10" xfId="56" applyNumberFormat="1" applyFont="1" applyFill="1" applyBorder="1" applyAlignment="1">
      <alignment horizontal="center"/>
      <protection/>
    </xf>
    <xf numFmtId="0" fontId="3" fillId="34" borderId="0" xfId="56" applyFont="1" applyFill="1" applyBorder="1" applyAlignment="1">
      <alignment horizontal="left"/>
      <protection/>
    </xf>
    <xf numFmtId="0" fontId="2" fillId="34" borderId="0" xfId="56" applyFill="1">
      <alignment/>
      <protection/>
    </xf>
    <xf numFmtId="0" fontId="2" fillId="34" borderId="10" xfId="56" applyFont="1" applyFill="1" applyBorder="1" applyAlignment="1">
      <alignment horizontal="center"/>
      <protection/>
    </xf>
    <xf numFmtId="171" fontId="5" fillId="0" borderId="10" xfId="56" applyNumberFormat="1" applyFont="1" applyFill="1" applyBorder="1" applyAlignment="1">
      <alignment horizontal="center"/>
      <protection/>
    </xf>
    <xf numFmtId="0" fontId="3" fillId="0" borderId="0" xfId="56" applyFont="1" applyBorder="1">
      <alignment/>
      <protection/>
    </xf>
    <xf numFmtId="9" fontId="2" fillId="34" borderId="0" xfId="59" applyFont="1" applyFill="1" applyBorder="1" applyAlignment="1">
      <alignment horizontal="center"/>
    </xf>
    <xf numFmtId="0" fontId="3" fillId="35" borderId="16" xfId="56" applyFont="1" applyFill="1" applyBorder="1" applyAlignment="1">
      <alignment horizontal="left"/>
      <protection/>
    </xf>
    <xf numFmtId="0" fontId="3" fillId="35" borderId="17" xfId="56" applyFont="1" applyFill="1" applyBorder="1" applyAlignment="1">
      <alignment horizontal="center"/>
      <protection/>
    </xf>
    <xf numFmtId="6" fontId="2" fillId="0" borderId="11" xfId="56" applyNumberFormat="1" applyFill="1" applyBorder="1" applyAlignment="1">
      <alignment horizontal="center"/>
      <protection/>
    </xf>
    <xf numFmtId="0" fontId="2" fillId="0" borderId="12" xfId="56" applyFill="1" applyBorder="1" applyAlignment="1">
      <alignment horizontal="left" indent="1"/>
      <protection/>
    </xf>
    <xf numFmtId="0" fontId="6" fillId="0" borderId="13" xfId="56" applyFont="1" applyFill="1" applyBorder="1">
      <alignment/>
      <protection/>
    </xf>
    <xf numFmtId="0" fontId="6" fillId="0" borderId="14" xfId="56" applyFont="1" applyFill="1" applyBorder="1">
      <alignment/>
      <protection/>
    </xf>
    <xf numFmtId="38" fontId="2" fillId="34" borderId="0" xfId="56" applyNumberFormat="1" applyFont="1" applyFill="1" applyBorder="1" applyAlignment="1">
      <alignment horizontal="center"/>
      <protection/>
    </xf>
    <xf numFmtId="38" fontId="2" fillId="34" borderId="10" xfId="56" applyNumberFormat="1" applyFont="1" applyFill="1" applyBorder="1" applyAlignment="1">
      <alignment horizontal="center"/>
      <protection/>
    </xf>
    <xf numFmtId="9" fontId="2" fillId="0" borderId="0" xfId="59" applyFont="1" applyBorder="1" applyAlignment="1">
      <alignment horizontal="center"/>
    </xf>
    <xf numFmtId="178" fontId="2" fillId="0" borderId="0" xfId="56" applyNumberFormat="1" applyFill="1" applyBorder="1" applyAlignment="1">
      <alignment horizontal="center"/>
      <protection/>
    </xf>
    <xf numFmtId="0" fontId="3" fillId="35" borderId="18" xfId="56" applyFont="1" applyFill="1" applyBorder="1" applyAlignment="1">
      <alignment horizontal="center" wrapText="1"/>
      <protection/>
    </xf>
    <xf numFmtId="0" fontId="2" fillId="0" borderId="11" xfId="56" applyBorder="1" applyAlignment="1">
      <alignment horizontal="center"/>
      <protection/>
    </xf>
    <xf numFmtId="8" fontId="2" fillId="0" borderId="11" xfId="56" applyNumberFormat="1" applyFill="1" applyBorder="1" applyAlignment="1">
      <alignment horizontal="center"/>
      <protection/>
    </xf>
    <xf numFmtId="2" fontId="2" fillId="0" borderId="11" xfId="56" applyNumberFormat="1" applyBorder="1" applyAlignment="1">
      <alignment horizontal="center"/>
      <protection/>
    </xf>
    <xf numFmtId="177" fontId="2" fillId="0" borderId="11" xfId="56" applyNumberFormat="1" applyFill="1" applyBorder="1" applyAlignment="1">
      <alignment horizontal="center"/>
      <protection/>
    </xf>
    <xf numFmtId="6" fontId="2" fillId="0" borderId="20" xfId="56" applyNumberFormat="1" applyFill="1" applyBorder="1" applyAlignment="1">
      <alignment horizontal="center"/>
      <protection/>
    </xf>
    <xf numFmtId="6" fontId="2" fillId="0" borderId="11" xfId="56" applyNumberFormat="1" applyBorder="1" applyAlignment="1">
      <alignment horizontal="center"/>
      <protection/>
    </xf>
    <xf numFmtId="39" fontId="2" fillId="0" borderId="11" xfId="44" applyNumberFormat="1" applyFont="1" applyFill="1" applyBorder="1" applyAlignment="1">
      <alignment horizontal="center"/>
    </xf>
    <xf numFmtId="0" fontId="2" fillId="0" borderId="15" xfId="56" applyBorder="1">
      <alignment/>
      <protection/>
    </xf>
    <xf numFmtId="175" fontId="2" fillId="34" borderId="0" xfId="56" applyNumberFormat="1" applyFill="1" applyBorder="1" applyAlignment="1">
      <alignment horizontal="center"/>
      <protection/>
    </xf>
    <xf numFmtId="9" fontId="42" fillId="20" borderId="17" xfId="56" applyNumberFormat="1" applyFont="1" applyFill="1" applyBorder="1">
      <alignment/>
      <protection/>
    </xf>
    <xf numFmtId="0" fontId="42" fillId="20" borderId="18" xfId="56" applyFont="1" applyFill="1" applyBorder="1">
      <alignment/>
      <protection/>
    </xf>
    <xf numFmtId="176" fontId="2" fillId="34" borderId="0" xfId="44" applyNumberFormat="1" applyFont="1" applyFill="1" applyBorder="1" applyAlignment="1">
      <alignment horizontal="center"/>
    </xf>
    <xf numFmtId="37" fontId="2" fillId="34" borderId="0" xfId="44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1"/>
  <sheetViews>
    <sheetView tabSelected="1" zoomScale="90" zoomScaleNormal="90" zoomScalePageLayoutView="0" workbookViewId="0" topLeftCell="A7">
      <selection activeCell="D34" sqref="D34"/>
    </sheetView>
  </sheetViews>
  <sheetFormatPr defaultColWidth="9.140625" defaultRowHeight="15"/>
  <cols>
    <col min="1" max="1" width="5.28125" style="1" customWidth="1"/>
    <col min="2" max="2" width="10.28125" style="1" customWidth="1"/>
    <col min="3" max="3" width="8.8515625" style="1" customWidth="1"/>
    <col min="4" max="4" width="9.00390625" style="1" customWidth="1"/>
    <col min="5" max="5" width="9.7109375" style="1" customWidth="1"/>
    <col min="6" max="8" width="8.28125" style="1" customWidth="1"/>
    <col min="9" max="9" width="9.00390625" style="1" customWidth="1"/>
    <col min="10" max="10" width="8.28125" style="1" customWidth="1"/>
    <col min="11" max="11" width="11.140625" style="1" customWidth="1"/>
    <col min="12" max="12" width="9.140625" style="1" customWidth="1"/>
    <col min="13" max="17" width="8.28125" style="1" customWidth="1"/>
    <col min="18" max="18" width="9.421875" style="1" customWidth="1"/>
    <col min="19" max="19" width="8.8515625" style="1" customWidth="1"/>
    <col min="20" max="20" width="9.7109375" style="1" customWidth="1"/>
    <col min="21" max="16384" width="9.140625" style="1" customWidth="1"/>
  </cols>
  <sheetData>
    <row r="1" ht="12.75">
      <c r="A1" s="2" t="s">
        <v>53</v>
      </c>
    </row>
    <row r="2" spans="2:19" ht="12.75">
      <c r="B2" s="52" t="s">
        <v>71</v>
      </c>
      <c r="C2" s="53"/>
      <c r="D2" s="53"/>
      <c r="E2" s="53"/>
      <c r="F2" s="53"/>
      <c r="N2" s="84" t="s">
        <v>58</v>
      </c>
      <c r="O2" s="85"/>
      <c r="P2" s="85"/>
      <c r="Q2" s="85"/>
      <c r="R2" s="85"/>
      <c r="S2" s="85"/>
    </row>
    <row r="3" spans="1:19" ht="12.75">
      <c r="A3" s="2"/>
      <c r="B3" s="46" t="s">
        <v>61</v>
      </c>
      <c r="C3" s="47"/>
      <c r="D3" s="47"/>
      <c r="E3" s="48"/>
      <c r="F3" s="47"/>
      <c r="G3" s="46" t="s">
        <v>60</v>
      </c>
      <c r="H3" s="47"/>
      <c r="I3" s="47"/>
      <c r="J3" s="48" t="s">
        <v>75</v>
      </c>
      <c r="K3" s="110" t="s">
        <v>76</v>
      </c>
      <c r="L3" s="47"/>
      <c r="M3" s="49"/>
      <c r="N3" s="48" t="s">
        <v>70</v>
      </c>
      <c r="O3" s="48"/>
      <c r="P3" s="48"/>
      <c r="Q3" s="47"/>
      <c r="R3" s="47"/>
      <c r="S3" s="49"/>
    </row>
    <row r="4" spans="2:19" ht="12.75">
      <c r="B4" s="28" t="s">
        <v>72</v>
      </c>
      <c r="C4" s="3"/>
      <c r="D4" s="54">
        <v>500</v>
      </c>
      <c r="E4" s="40" t="s">
        <v>4</v>
      </c>
      <c r="F4" s="3"/>
      <c r="G4" s="28" t="s">
        <v>62</v>
      </c>
      <c r="H4" s="3"/>
      <c r="I4" s="57">
        <v>0.87</v>
      </c>
      <c r="J4" s="61">
        <v>360</v>
      </c>
      <c r="K4" s="26">
        <f>J4/$D$25*100</f>
        <v>24</v>
      </c>
      <c r="L4" s="6"/>
      <c r="M4" s="35"/>
      <c r="N4" s="39" t="s">
        <v>6</v>
      </c>
      <c r="O4" s="6"/>
      <c r="P4" s="109">
        <f>IRR(D36:R36)</f>
        <v>0.17019812765790654</v>
      </c>
      <c r="Q4" s="6"/>
      <c r="R4" s="3"/>
      <c r="S4" s="27"/>
    </row>
    <row r="5" spans="2:19" ht="15">
      <c r="B5" s="28" t="s">
        <v>9</v>
      </c>
      <c r="C5" s="3"/>
      <c r="D5" s="55">
        <v>0.68</v>
      </c>
      <c r="E5" s="38"/>
      <c r="F5" s="24"/>
      <c r="G5" s="28" t="s">
        <v>87</v>
      </c>
      <c r="H5" s="6"/>
      <c r="I5" s="78">
        <v>0.11</v>
      </c>
      <c r="J5" s="79">
        <v>360</v>
      </c>
      <c r="K5" s="87">
        <f>J5/$D$25*100</f>
        <v>24</v>
      </c>
      <c r="L5" s="6"/>
      <c r="M5" s="31"/>
      <c r="N5" s="7" t="s">
        <v>27</v>
      </c>
      <c r="O5" s="4"/>
      <c r="P5" s="65">
        <f>IRR(D46:S46)</f>
        <v>0.21094112411032606</v>
      </c>
      <c r="Q5" s="6"/>
      <c r="R5" s="3"/>
      <c r="S5" s="27"/>
    </row>
    <row r="6" spans="2:19" ht="12.75">
      <c r="B6" s="41" t="s">
        <v>1</v>
      </c>
      <c r="C6" s="6"/>
      <c r="D6" s="66">
        <f>D4*8.76*D5</f>
        <v>2978.4</v>
      </c>
      <c r="E6" s="40" t="s">
        <v>78</v>
      </c>
      <c r="F6" s="3"/>
      <c r="G6" s="77" t="s">
        <v>86</v>
      </c>
      <c r="H6" s="14"/>
      <c r="I6" s="78">
        <v>0.03</v>
      </c>
      <c r="J6" s="79">
        <v>100</v>
      </c>
      <c r="K6" s="87">
        <f>J6/$D$25*100</f>
        <v>6.666666666666667</v>
      </c>
      <c r="L6" s="6"/>
      <c r="M6" s="27"/>
      <c r="N6" s="7" t="s">
        <v>68</v>
      </c>
      <c r="O6" s="3"/>
      <c r="P6" s="71">
        <f>NPV(I24,D36:R36)</f>
        <v>770.8365286198314</v>
      </c>
      <c r="Q6" s="6"/>
      <c r="R6" s="3"/>
      <c r="S6" s="27"/>
    </row>
    <row r="7" spans="2:19" ht="12.75">
      <c r="B7" s="29" t="s">
        <v>11</v>
      </c>
      <c r="C7" s="3"/>
      <c r="D7" s="54">
        <v>1000</v>
      </c>
      <c r="E7" s="40"/>
      <c r="F7" s="3"/>
      <c r="G7" s="30" t="s">
        <v>2</v>
      </c>
      <c r="H7" s="3"/>
      <c r="I7" s="63"/>
      <c r="J7" s="67">
        <f>SUMPRODUCT(I4:I6,J4:J6)</f>
        <v>355.8</v>
      </c>
      <c r="K7" s="69">
        <f>J7/$D$25*100</f>
        <v>23.72</v>
      </c>
      <c r="L7" s="6"/>
      <c r="M7" s="27"/>
      <c r="N7" s="7" t="s">
        <v>69</v>
      </c>
      <c r="O7" s="3"/>
      <c r="P7" s="71">
        <f>NPV(I20,D46:S46)</f>
        <v>102.64430884235514</v>
      </c>
      <c r="Q7" s="6"/>
      <c r="R7" s="3"/>
      <c r="S7" s="27"/>
    </row>
    <row r="8" spans="2:19" ht="12.75">
      <c r="B8" s="41"/>
      <c r="C8" s="6"/>
      <c r="D8" s="6"/>
      <c r="E8" s="6"/>
      <c r="F8" s="6"/>
      <c r="G8" s="41" t="s">
        <v>64</v>
      </c>
      <c r="H8" s="6"/>
      <c r="I8" s="63"/>
      <c r="J8" s="69">
        <f>K8*D25/100</f>
        <v>9</v>
      </c>
      <c r="K8" s="67">
        <v>0.6</v>
      </c>
      <c r="L8" s="6"/>
      <c r="M8" s="27"/>
      <c r="N8" s="6"/>
      <c r="O8" s="6"/>
      <c r="P8" s="6"/>
      <c r="Q8" s="6"/>
      <c r="R8" s="3"/>
      <c r="S8" s="27"/>
    </row>
    <row r="9" spans="2:19" ht="12.75">
      <c r="B9" s="46" t="s">
        <v>65</v>
      </c>
      <c r="C9" s="47"/>
      <c r="D9" s="48" t="s">
        <v>74</v>
      </c>
      <c r="E9" s="48" t="s">
        <v>73</v>
      </c>
      <c r="F9" s="47"/>
      <c r="G9" s="46" t="s">
        <v>3</v>
      </c>
      <c r="H9" s="47"/>
      <c r="I9" s="48" t="s">
        <v>74</v>
      </c>
      <c r="J9" s="48" t="s">
        <v>73</v>
      </c>
      <c r="K9" s="48" t="s">
        <v>77</v>
      </c>
      <c r="L9" s="47"/>
      <c r="M9" s="49"/>
      <c r="N9" s="48" t="s">
        <v>37</v>
      </c>
      <c r="O9" s="47"/>
      <c r="P9" s="47"/>
      <c r="Q9" s="47"/>
      <c r="R9" s="47"/>
      <c r="S9" s="49"/>
    </row>
    <row r="10" spans="2:19" ht="12.75">
      <c r="B10" s="28" t="s">
        <v>0</v>
      </c>
      <c r="C10" s="3"/>
      <c r="D10" s="56">
        <v>1484</v>
      </c>
      <c r="E10" s="96">
        <f>D10*$D$25/1000</f>
        <v>2226</v>
      </c>
      <c r="F10" s="70">
        <f>D10/$D$14</f>
        <v>0.4727620261229691</v>
      </c>
      <c r="G10" s="45" t="s">
        <v>66</v>
      </c>
      <c r="H10" s="6"/>
      <c r="I10" s="56">
        <v>30</v>
      </c>
      <c r="J10" s="71">
        <f>I10*$D$25/1000</f>
        <v>45</v>
      </c>
      <c r="K10" s="68">
        <f>I10/$D$6*100</f>
        <v>1.0072522159548751</v>
      </c>
      <c r="L10" s="3"/>
      <c r="M10" s="27"/>
      <c r="N10" s="3" t="s">
        <v>24</v>
      </c>
      <c r="O10" s="3"/>
      <c r="P10" s="68">
        <f>D16/D4</f>
        <v>5.278</v>
      </c>
      <c r="Q10" s="3" t="s">
        <v>25</v>
      </c>
      <c r="R10" s="6"/>
      <c r="S10" s="27"/>
    </row>
    <row r="11" spans="2:19" ht="12.75">
      <c r="B11" s="30" t="s">
        <v>55</v>
      </c>
      <c r="C11" s="3"/>
      <c r="D11" s="56">
        <v>670</v>
      </c>
      <c r="E11" s="96">
        <f>D11*$D$25/1000</f>
        <v>1005</v>
      </c>
      <c r="F11" s="70">
        <f>D11/$D$14</f>
        <v>0.21344377190187958</v>
      </c>
      <c r="G11" s="45" t="s">
        <v>15</v>
      </c>
      <c r="H11" s="6"/>
      <c r="I11" s="56">
        <f>1%*D14</f>
        <v>31.39</v>
      </c>
      <c r="J11" s="71">
        <f>I11*$D$25/1000</f>
        <v>47.085</v>
      </c>
      <c r="K11" s="68">
        <f>I11/$D$6*100</f>
        <v>1.053921568627451</v>
      </c>
      <c r="L11" s="3"/>
      <c r="M11" s="27"/>
      <c r="N11" s="7" t="s">
        <v>3</v>
      </c>
      <c r="O11" s="3"/>
      <c r="P11" s="69">
        <f>I14/D6*100</f>
        <v>2.061173784582326</v>
      </c>
      <c r="Q11" s="3" t="s">
        <v>28</v>
      </c>
      <c r="R11" s="6"/>
      <c r="S11" s="27"/>
    </row>
    <row r="12" spans="2:19" ht="15">
      <c r="B12" s="28" t="s">
        <v>84</v>
      </c>
      <c r="C12" s="3"/>
      <c r="D12" s="56">
        <v>389</v>
      </c>
      <c r="E12" s="96">
        <f>D12*$D$25/1000</f>
        <v>583.5</v>
      </c>
      <c r="F12" s="70">
        <f>D12/$D$14</f>
        <v>0.12392481682064352</v>
      </c>
      <c r="G12" s="45" t="s">
        <v>67</v>
      </c>
      <c r="H12" s="24"/>
      <c r="I12" s="56">
        <v>0</v>
      </c>
      <c r="J12" s="71">
        <f>I12*$D$25/1000</f>
        <v>0</v>
      </c>
      <c r="K12" s="68">
        <f>I12/$D$6*100</f>
        <v>0</v>
      </c>
      <c r="L12" s="3"/>
      <c r="M12" s="31"/>
      <c r="N12" s="3" t="s">
        <v>34</v>
      </c>
      <c r="O12" s="3"/>
      <c r="P12" s="68">
        <f>D5*8760/1000</f>
        <v>5.9568</v>
      </c>
      <c r="Q12" s="3" t="s">
        <v>35</v>
      </c>
      <c r="R12" s="6"/>
      <c r="S12" s="27"/>
    </row>
    <row r="13" spans="2:19" ht="12.75">
      <c r="B13" s="77" t="s">
        <v>85</v>
      </c>
      <c r="C13" s="14"/>
      <c r="D13" s="80">
        <v>596</v>
      </c>
      <c r="E13" s="97">
        <f>D13*$D$25/1000</f>
        <v>894</v>
      </c>
      <c r="F13" s="70">
        <f>D13/$D$14</f>
        <v>0.1898693851545078</v>
      </c>
      <c r="G13" s="74" t="s">
        <v>18</v>
      </c>
      <c r="H13" s="14"/>
      <c r="I13" s="80">
        <v>0</v>
      </c>
      <c r="J13" s="81">
        <f>I13*$D$25/1000</f>
        <v>0</v>
      </c>
      <c r="K13" s="83">
        <f>I13/$D$6*100</f>
        <v>0</v>
      </c>
      <c r="L13" s="3"/>
      <c r="M13" s="27"/>
      <c r="N13" s="75" t="s">
        <v>36</v>
      </c>
      <c r="O13" s="14"/>
      <c r="P13" s="76">
        <f>-PMT(I24,I23,P10)/P12*100</f>
        <v>12.905268533786524</v>
      </c>
      <c r="Q13" s="14" t="s">
        <v>28</v>
      </c>
      <c r="R13" s="6"/>
      <c r="S13" s="27"/>
    </row>
    <row r="14" spans="2:19" ht="12.75">
      <c r="B14" s="30" t="s">
        <v>10</v>
      </c>
      <c r="C14" s="3"/>
      <c r="D14" s="96">
        <f>SUM(D10:D13)</f>
        <v>3139</v>
      </c>
      <c r="E14" s="96">
        <f>SUM(E10:E13)</f>
        <v>4708.5</v>
      </c>
      <c r="F14" s="89"/>
      <c r="G14" s="45" t="s">
        <v>22</v>
      </c>
      <c r="H14" s="3"/>
      <c r="I14" s="69">
        <f>SUM(I10:I13)</f>
        <v>61.39</v>
      </c>
      <c r="J14" s="69">
        <f>SUM(J10:J13)</f>
        <v>92.08500000000001</v>
      </c>
      <c r="K14" s="69">
        <f>SUM(K10:K13)</f>
        <v>2.0611737845823264</v>
      </c>
      <c r="L14" s="3"/>
      <c r="M14" s="27"/>
      <c r="N14" s="39" t="s">
        <v>22</v>
      </c>
      <c r="O14" s="6"/>
      <c r="P14" s="112">
        <f>P13+P11</f>
        <v>14.96644231836885</v>
      </c>
      <c r="Q14" s="3" t="s">
        <v>28</v>
      </c>
      <c r="R14" s="6"/>
      <c r="S14" s="27"/>
    </row>
    <row r="15" spans="2:251" ht="12.75">
      <c r="B15" s="75" t="s">
        <v>57</v>
      </c>
      <c r="C15" s="14"/>
      <c r="D15" s="86">
        <f>D7*500/1000</f>
        <v>500</v>
      </c>
      <c r="E15" s="81">
        <f>D15*$D$25/1000</f>
        <v>750</v>
      </c>
      <c r="F15" s="70"/>
      <c r="G15" s="41"/>
      <c r="H15" s="3"/>
      <c r="I15" s="6"/>
      <c r="J15" s="6"/>
      <c r="K15" s="6"/>
      <c r="L15" s="6"/>
      <c r="M15" s="27"/>
      <c r="N15" s="6"/>
      <c r="O15" s="6"/>
      <c r="P15" s="113">
        <f>P14*D25/100</f>
        <v>224.49663477553275</v>
      </c>
      <c r="Q15" s="39" t="s">
        <v>95</v>
      </c>
      <c r="R15" s="6"/>
      <c r="S15" s="27"/>
      <c r="IQ15" s="5" t="s">
        <v>17</v>
      </c>
    </row>
    <row r="16" spans="2:19" ht="15">
      <c r="B16" s="28" t="s">
        <v>79</v>
      </c>
      <c r="C16" s="3"/>
      <c r="D16" s="64">
        <f>D14-D15</f>
        <v>2639</v>
      </c>
      <c r="E16" s="64">
        <f>E14-E15</f>
        <v>3958.5</v>
      </c>
      <c r="F16" s="70"/>
      <c r="G16" s="30"/>
      <c r="H16" s="3"/>
      <c r="I16" s="6"/>
      <c r="J16" s="6"/>
      <c r="K16" s="6"/>
      <c r="L16" s="6"/>
      <c r="M16" s="36"/>
      <c r="N16" s="6"/>
      <c r="O16" s="6"/>
      <c r="P16" s="6"/>
      <c r="Q16" s="6"/>
      <c r="R16" s="6"/>
      <c r="S16" s="27"/>
    </row>
    <row r="17" spans="2:19" ht="12.75">
      <c r="B17" s="43"/>
      <c r="C17" s="44"/>
      <c r="D17" s="44"/>
      <c r="E17" s="44"/>
      <c r="F17" s="44"/>
      <c r="G17" s="43"/>
      <c r="H17" s="33"/>
      <c r="I17" s="44"/>
      <c r="J17" s="44"/>
      <c r="K17" s="44"/>
      <c r="L17" s="44"/>
      <c r="M17" s="34"/>
      <c r="N17" s="44"/>
      <c r="O17" s="44"/>
      <c r="P17" s="44"/>
      <c r="Q17" s="44"/>
      <c r="R17" s="44"/>
      <c r="S17" s="34"/>
    </row>
    <row r="18" spans="2:19" ht="12.75">
      <c r="B18" s="46" t="s">
        <v>59</v>
      </c>
      <c r="C18" s="47"/>
      <c r="D18" s="47"/>
      <c r="E18" s="47"/>
      <c r="F18" s="47"/>
      <c r="G18" s="46" t="s">
        <v>8</v>
      </c>
      <c r="H18" s="47"/>
      <c r="I18" s="47"/>
      <c r="J18" s="47"/>
      <c r="K18" s="47"/>
      <c r="L18" s="48" t="s">
        <v>74</v>
      </c>
      <c r="M18" s="111" t="s">
        <v>73</v>
      </c>
      <c r="N18" s="48" t="s">
        <v>14</v>
      </c>
      <c r="O18" s="47"/>
      <c r="P18" s="50">
        <v>1</v>
      </c>
      <c r="Q18" s="50">
        <f>P18+1</f>
        <v>2</v>
      </c>
      <c r="R18" s="50">
        <f>Q18+1</f>
        <v>3</v>
      </c>
      <c r="S18" s="51">
        <f>R18+1</f>
        <v>4</v>
      </c>
    </row>
    <row r="19" spans="2:19" ht="12.75">
      <c r="B19" s="37" t="s">
        <v>12</v>
      </c>
      <c r="C19" s="3"/>
      <c r="D19" s="58">
        <v>1.5</v>
      </c>
      <c r="E19" s="23" t="s">
        <v>7</v>
      </c>
      <c r="F19" s="6"/>
      <c r="G19" s="30" t="s">
        <v>13</v>
      </c>
      <c r="H19" s="25"/>
      <c r="I19" s="55">
        <v>0.3</v>
      </c>
      <c r="J19" s="7"/>
      <c r="K19" s="7" t="s">
        <v>88</v>
      </c>
      <c r="L19" s="96">
        <f>D14*I19-L20</f>
        <v>441.69999999999993</v>
      </c>
      <c r="M19" s="96">
        <f>L19*$D$25/1000</f>
        <v>662.5499999999998</v>
      </c>
      <c r="N19" s="6" t="s">
        <v>16</v>
      </c>
      <c r="O19" s="3"/>
      <c r="P19" s="72">
        <f>IF($D$19&lt;O18,0,IF(P18&lt;=$D$19,1/$D$19,($D$19-O18)/$D$19))</f>
        <v>0.6666666666666666</v>
      </c>
      <c r="Q19" s="72">
        <f>IF($D$19&lt;P18,0,IF(Q18&lt;=$D$19,1/$D$19,($D$19-P18)/$D$19))</f>
        <v>0.3333333333333333</v>
      </c>
      <c r="R19" s="72">
        <f>IF($D$19&lt;Q18,0,IF(R18&lt;=$D$19,1/$D$19,($D$19-Q18)/$D$19))</f>
        <v>0</v>
      </c>
      <c r="S19" s="73">
        <f>IF($D$19&lt;R18,0,IF(S18&lt;=$D$19,1/$D$19,($D$19-R18)/$D$19))</f>
        <v>0</v>
      </c>
    </row>
    <row r="20" spans="2:24" ht="12.75">
      <c r="B20" s="30" t="s">
        <v>29</v>
      </c>
      <c r="C20" s="3"/>
      <c r="D20" s="55">
        <v>0.9</v>
      </c>
      <c r="E20" s="6"/>
      <c r="F20" s="6"/>
      <c r="G20" s="30" t="s">
        <v>56</v>
      </c>
      <c r="H20" s="3"/>
      <c r="I20" s="55">
        <v>0.15</v>
      </c>
      <c r="J20" s="39"/>
      <c r="K20" s="39" t="s">
        <v>89</v>
      </c>
      <c r="L20" s="96">
        <f>D15</f>
        <v>500</v>
      </c>
      <c r="M20" s="96">
        <f>L20*$D$25/1000</f>
        <v>750</v>
      </c>
      <c r="N20" s="6" t="s">
        <v>19</v>
      </c>
      <c r="O20" s="3"/>
      <c r="P20" s="72">
        <f>IF(O18&gt;$D$19,100%,IF(P18&gt;$D$19,1-P19,0))</f>
        <v>0</v>
      </c>
      <c r="Q20" s="72">
        <f>IF(P18&gt;$D$19,100%,IF(Q18&gt;$D$19,1-Q19,0))</f>
        <v>0.6666666666666667</v>
      </c>
      <c r="R20" s="72">
        <f>IF(Q18&gt;$D$19,100%,IF(R18&gt;$D$19,1-R19,0))</f>
        <v>1</v>
      </c>
      <c r="S20" s="73">
        <f>IF(R18&gt;$D$19,100%,IF(S18&gt;$D$19,1-S19,0))</f>
        <v>1</v>
      </c>
      <c r="W20" s="25"/>
      <c r="X20" s="3"/>
    </row>
    <row r="21" spans="2:19" ht="12.75">
      <c r="B21" s="30" t="s">
        <v>31</v>
      </c>
      <c r="C21" s="3"/>
      <c r="D21" s="55">
        <v>0.05</v>
      </c>
      <c r="E21" s="9"/>
      <c r="F21" s="6"/>
      <c r="G21" s="28" t="s">
        <v>63</v>
      </c>
      <c r="H21" s="3"/>
      <c r="I21" s="55">
        <v>0.15</v>
      </c>
      <c r="J21" s="39"/>
      <c r="K21" s="39" t="s">
        <v>90</v>
      </c>
      <c r="L21" s="96">
        <f>D14-L19-L20</f>
        <v>2197.3</v>
      </c>
      <c r="M21" s="96">
        <f>L21*$D$25/1000</f>
        <v>3295.9500000000003</v>
      </c>
      <c r="N21" s="6"/>
      <c r="O21" s="6"/>
      <c r="P21" s="6"/>
      <c r="Q21" s="6"/>
      <c r="R21" s="6"/>
      <c r="S21" s="42"/>
    </row>
    <row r="22" spans="2:19" ht="12.75">
      <c r="B22" s="30" t="s">
        <v>23</v>
      </c>
      <c r="C22" s="3"/>
      <c r="D22" s="59">
        <v>0.02</v>
      </c>
      <c r="E22" s="3"/>
      <c r="F22" s="3"/>
      <c r="G22" s="30" t="s">
        <v>20</v>
      </c>
      <c r="H22" s="3"/>
      <c r="I22" s="58">
        <v>3</v>
      </c>
      <c r="J22" s="39"/>
      <c r="K22" s="6"/>
      <c r="L22" s="6"/>
      <c r="M22" s="27"/>
      <c r="N22" s="88" t="s">
        <v>80</v>
      </c>
      <c r="O22" s="6"/>
      <c r="P22" s="6"/>
      <c r="Q22" s="6"/>
      <c r="R22" s="6"/>
      <c r="S22" s="42"/>
    </row>
    <row r="23" spans="2:19" ht="12.75">
      <c r="B23" s="30" t="s">
        <v>26</v>
      </c>
      <c r="C23" s="3"/>
      <c r="D23" s="60">
        <v>0.06</v>
      </c>
      <c r="E23" s="3"/>
      <c r="F23" s="3"/>
      <c r="G23" s="30" t="s">
        <v>21</v>
      </c>
      <c r="H23" s="6"/>
      <c r="I23" s="58">
        <v>15</v>
      </c>
      <c r="J23" s="39"/>
      <c r="K23" s="6"/>
      <c r="L23" s="6"/>
      <c r="M23" s="42"/>
      <c r="N23" s="6" t="s">
        <v>81</v>
      </c>
      <c r="O23" s="6"/>
      <c r="P23" s="5">
        <v>20</v>
      </c>
      <c r="Q23" s="6" t="s">
        <v>7</v>
      </c>
      <c r="R23" s="6"/>
      <c r="S23" s="42"/>
    </row>
    <row r="24" spans="2:19" ht="12.75">
      <c r="B24" s="29" t="s">
        <v>32</v>
      </c>
      <c r="C24" s="3"/>
      <c r="D24" s="62">
        <v>0</v>
      </c>
      <c r="E24" s="3" t="s">
        <v>33</v>
      </c>
      <c r="F24" s="3"/>
      <c r="G24" s="41" t="s">
        <v>30</v>
      </c>
      <c r="H24" s="3"/>
      <c r="I24" s="65">
        <f>I19*I20+(1-I19)*I21*(1-P24)</f>
        <v>0.1185</v>
      </c>
      <c r="J24" s="6"/>
      <c r="K24" s="3"/>
      <c r="L24" s="3"/>
      <c r="M24" s="27"/>
      <c r="N24" s="6" t="s">
        <v>82</v>
      </c>
      <c r="O24" s="6"/>
      <c r="P24" s="8">
        <v>0.3</v>
      </c>
      <c r="Q24" s="6"/>
      <c r="R24" s="6"/>
      <c r="S24" s="42"/>
    </row>
    <row r="25" spans="2:19" ht="12.75">
      <c r="B25" s="41" t="s">
        <v>5</v>
      </c>
      <c r="C25" s="6"/>
      <c r="D25" s="82">
        <v>1500</v>
      </c>
      <c r="E25" s="6" t="s">
        <v>54</v>
      </c>
      <c r="F25" s="6"/>
      <c r="G25" s="41"/>
      <c r="H25" s="3"/>
      <c r="I25" s="3"/>
      <c r="J25" s="3"/>
      <c r="K25" s="3"/>
      <c r="L25" s="3"/>
      <c r="M25" s="27"/>
      <c r="N25" s="3" t="s">
        <v>83</v>
      </c>
      <c r="O25" s="3"/>
      <c r="P25" s="10">
        <v>0</v>
      </c>
      <c r="Q25" s="3" t="s">
        <v>7</v>
      </c>
      <c r="R25" s="3"/>
      <c r="S25" s="27"/>
    </row>
    <row r="26" spans="2:19" ht="12.75">
      <c r="B26" s="43"/>
      <c r="C26" s="44"/>
      <c r="D26" s="44"/>
      <c r="E26" s="44"/>
      <c r="F26" s="44"/>
      <c r="G26" s="32"/>
      <c r="H26" s="33"/>
      <c r="I26" s="33"/>
      <c r="J26" s="33"/>
      <c r="K26" s="33"/>
      <c r="L26" s="33"/>
      <c r="M26" s="34"/>
      <c r="N26" s="33"/>
      <c r="O26" s="33"/>
      <c r="P26" s="33"/>
      <c r="Q26" s="33"/>
      <c r="R26" s="33"/>
      <c r="S26" s="34"/>
    </row>
    <row r="27" spans="2:19" ht="25.5">
      <c r="B27" s="90" t="s">
        <v>38</v>
      </c>
      <c r="C27" s="91"/>
      <c r="D27" s="91">
        <v>1</v>
      </c>
      <c r="E27" s="91">
        <f aca="true" t="shared" si="0" ref="E27:R27">D27+1</f>
        <v>2</v>
      </c>
      <c r="F27" s="91">
        <f t="shared" si="0"/>
        <v>3</v>
      </c>
      <c r="G27" s="91">
        <f t="shared" si="0"/>
        <v>4</v>
      </c>
      <c r="H27" s="91">
        <f>G27+1</f>
        <v>5</v>
      </c>
      <c r="I27" s="91">
        <f t="shared" si="0"/>
        <v>6</v>
      </c>
      <c r="J27" s="91">
        <f t="shared" si="0"/>
        <v>7</v>
      </c>
      <c r="K27" s="91">
        <f t="shared" si="0"/>
        <v>8</v>
      </c>
      <c r="L27" s="91">
        <f t="shared" si="0"/>
        <v>9</v>
      </c>
      <c r="M27" s="91">
        <f t="shared" si="0"/>
        <v>10</v>
      </c>
      <c r="N27" s="91">
        <f t="shared" si="0"/>
        <v>11</v>
      </c>
      <c r="O27" s="91">
        <f t="shared" si="0"/>
        <v>12</v>
      </c>
      <c r="P27" s="91">
        <f t="shared" si="0"/>
        <v>13</v>
      </c>
      <c r="Q27" s="91">
        <f t="shared" si="0"/>
        <v>14</v>
      </c>
      <c r="R27" s="91">
        <f t="shared" si="0"/>
        <v>15</v>
      </c>
      <c r="S27" s="100" t="s">
        <v>92</v>
      </c>
    </row>
    <row r="28" spans="2:19" ht="12.75">
      <c r="B28" s="30" t="s">
        <v>39</v>
      </c>
      <c r="C28" s="3"/>
      <c r="D28" s="11">
        <f>$D$14*HLOOKUP(D27,$P$18:$S$20,2)</f>
        <v>2092.6666666666665</v>
      </c>
      <c r="E28" s="11">
        <f>$D$14*HLOOKUP(E27,$P$18:$S$20,2)</f>
        <v>1046.3333333333333</v>
      </c>
      <c r="F28" s="11">
        <f>$D$14*HLOOKUP(F27,$P$18:$S$20,2)</f>
        <v>0</v>
      </c>
      <c r="G28" s="11">
        <f>$D$14*HLOOKUP(G27,$P$18:$S$20,2)</f>
        <v>0</v>
      </c>
      <c r="H28" s="11">
        <f>$D$14*HLOOKUP(H27,$P$18:$S$20,2)</f>
        <v>0</v>
      </c>
      <c r="I28" s="12"/>
      <c r="J28" s="12"/>
      <c r="K28" s="12"/>
      <c r="L28" s="12"/>
      <c r="M28" s="12"/>
      <c r="N28" s="5"/>
      <c r="O28" s="5"/>
      <c r="P28" s="5"/>
      <c r="Q28" s="5"/>
      <c r="R28" s="5"/>
      <c r="S28" s="101"/>
    </row>
    <row r="29" spans="2:19" ht="12.75">
      <c r="B29" s="30" t="s">
        <v>40</v>
      </c>
      <c r="C29" s="3"/>
      <c r="D29" s="11">
        <f>IF(D27=CEILING($D$19,1),$D$14*1%,0)</f>
        <v>0</v>
      </c>
      <c r="E29" s="11">
        <f>IF(E27=CEILING($D$19,1),$D$14*1%,0)</f>
        <v>31.39</v>
      </c>
      <c r="F29" s="11">
        <f>IF(F27=CEILING($D$19,1),$D$14*1%,0)</f>
        <v>0</v>
      </c>
      <c r="G29" s="11">
        <f>IF(G27=CEILING($D$19,1),#REF!*1%,0)</f>
        <v>0</v>
      </c>
      <c r="H29" s="11">
        <f>IF(H27=CEILING($D$19,1),#REF!*1%,0)</f>
        <v>0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02"/>
    </row>
    <row r="30" spans="2:19" ht="12.75">
      <c r="B30" s="28" t="s">
        <v>88</v>
      </c>
      <c r="C30" s="3"/>
      <c r="D30" s="11">
        <f>D28*$I$19</f>
        <v>627.8</v>
      </c>
      <c r="E30" s="11">
        <f>E28*$I$19</f>
        <v>313.9</v>
      </c>
      <c r="F30" s="11">
        <f>F28*$I$19</f>
        <v>0</v>
      </c>
      <c r="G30" s="11">
        <f>G28*$I$19</f>
        <v>0</v>
      </c>
      <c r="H30" s="11">
        <f>H28*$I$19</f>
        <v>0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02"/>
    </row>
    <row r="31" spans="2:19" ht="12.75">
      <c r="B31" s="28" t="s">
        <v>94</v>
      </c>
      <c r="C31" s="3"/>
      <c r="D31" s="11">
        <f>D28-D30</f>
        <v>1464.8666666666666</v>
      </c>
      <c r="E31" s="11">
        <f>E28-E30</f>
        <v>732.4333333333333</v>
      </c>
      <c r="F31" s="11">
        <f>F28-F30</f>
        <v>0</v>
      </c>
      <c r="G31" s="11">
        <f>G28-G30</f>
        <v>0</v>
      </c>
      <c r="H31" s="11">
        <f>H28-H30</f>
        <v>0</v>
      </c>
      <c r="I31" s="12"/>
      <c r="J31" s="12"/>
      <c r="K31" s="12"/>
      <c r="L31" s="12"/>
      <c r="M31" s="12"/>
      <c r="N31" s="5"/>
      <c r="O31" s="5"/>
      <c r="P31" s="5"/>
      <c r="Q31" s="5"/>
      <c r="R31" s="13"/>
      <c r="S31" s="103"/>
    </row>
    <row r="32" spans="2:19" ht="12.75">
      <c r="B32" s="28"/>
      <c r="C32" s="3"/>
      <c r="D32" s="11"/>
      <c r="E32" s="12"/>
      <c r="F32" s="12"/>
      <c r="G32" s="12"/>
      <c r="H32" s="12"/>
      <c r="I32" s="12"/>
      <c r="J32" s="12"/>
      <c r="K32" s="12"/>
      <c r="L32" s="12"/>
      <c r="M32" s="12"/>
      <c r="N32" s="5"/>
      <c r="O32" s="5"/>
      <c r="P32" s="5"/>
      <c r="Q32" s="5"/>
      <c r="R32" s="13"/>
      <c r="S32" s="103"/>
    </row>
    <row r="33" spans="2:19" ht="12.75">
      <c r="B33" s="28" t="s">
        <v>91</v>
      </c>
      <c r="C33" s="3"/>
      <c r="D33" s="99">
        <f>($K$7*$D$20*(1+$D$22)^(D27-1)+$K$8)</f>
        <v>21.948</v>
      </c>
      <c r="E33" s="99">
        <f aca="true" t="shared" si="1" ref="E33:R33">($K$7*$D$20*(1+$D$22)^(E27-1)+$K$8)</f>
        <v>22.37496</v>
      </c>
      <c r="F33" s="99">
        <f t="shared" si="1"/>
        <v>22.8104592</v>
      </c>
      <c r="G33" s="99">
        <f t="shared" si="1"/>
        <v>23.254668384</v>
      </c>
      <c r="H33" s="99">
        <f t="shared" si="1"/>
        <v>23.70776175168</v>
      </c>
      <c r="I33" s="99">
        <f t="shared" si="1"/>
        <v>24.169916986713602</v>
      </c>
      <c r="J33" s="99">
        <f t="shared" si="1"/>
        <v>24.641315326447874</v>
      </c>
      <c r="K33" s="99">
        <f t="shared" si="1"/>
        <v>25.122141632976827</v>
      </c>
      <c r="L33" s="99">
        <f t="shared" si="1"/>
        <v>25.612584465636363</v>
      </c>
      <c r="M33" s="99">
        <f t="shared" si="1"/>
        <v>26.112836154949093</v>
      </c>
      <c r="N33" s="99">
        <f t="shared" si="1"/>
        <v>26.623092878048073</v>
      </c>
      <c r="O33" s="99">
        <f t="shared" si="1"/>
        <v>27.14355473560903</v>
      </c>
      <c r="P33" s="99">
        <f t="shared" si="1"/>
        <v>27.674425830321216</v>
      </c>
      <c r="Q33" s="99">
        <f t="shared" si="1"/>
        <v>28.21591434692764</v>
      </c>
      <c r="R33" s="99">
        <f t="shared" si="1"/>
        <v>28.768232633866194</v>
      </c>
      <c r="S33" s="104"/>
    </row>
    <row r="34" spans="2:19" ht="12.75">
      <c r="B34" s="30" t="s">
        <v>41</v>
      </c>
      <c r="C34" s="3"/>
      <c r="D34" s="11">
        <f>D33*$D$6*(1-$D$21)*HLOOKUP(D27,$P$18:$S$20,3)/100</f>
        <v>0</v>
      </c>
      <c r="E34" s="11">
        <f aca="true" t="shared" si="2" ref="E34:R34">E33*$D$6*(1-$D$21)*HLOOKUP(E27,$P$18:$S$20,3)/100</f>
        <v>422.063345472</v>
      </c>
      <c r="F34" s="11">
        <f t="shared" si="2"/>
        <v>645.41738097216</v>
      </c>
      <c r="G34" s="11">
        <f t="shared" si="2"/>
        <v>657.986190991603</v>
      </c>
      <c r="H34" s="11">
        <f t="shared" si="2"/>
        <v>670.8063772114353</v>
      </c>
      <c r="I34" s="11">
        <f t="shared" si="2"/>
        <v>683.8829671556639</v>
      </c>
      <c r="J34" s="11">
        <f t="shared" si="2"/>
        <v>697.2210888987772</v>
      </c>
      <c r="K34" s="11">
        <f t="shared" si="2"/>
        <v>710.8259730767527</v>
      </c>
      <c r="L34" s="11">
        <f t="shared" si="2"/>
        <v>724.7029549382877</v>
      </c>
      <c r="M34" s="11">
        <f t="shared" si="2"/>
        <v>738.8574764370536</v>
      </c>
      <c r="N34" s="11">
        <f t="shared" si="2"/>
        <v>753.2950883657945</v>
      </c>
      <c r="O34" s="11">
        <f t="shared" si="2"/>
        <v>768.0214525331104</v>
      </c>
      <c r="P34" s="11">
        <f t="shared" si="2"/>
        <v>783.0423439837728</v>
      </c>
      <c r="Q34" s="11">
        <f t="shared" si="2"/>
        <v>798.3636532634482</v>
      </c>
      <c r="R34" s="11">
        <f t="shared" si="2"/>
        <v>813.9913887287171</v>
      </c>
      <c r="S34" s="92"/>
    </row>
    <row r="35" spans="2:19" ht="12.75">
      <c r="B35" s="75" t="s">
        <v>3</v>
      </c>
      <c r="C35" s="14"/>
      <c r="D35" s="15">
        <f aca="true" t="shared" si="3" ref="D35:R35">($P$11)/100*$D$6*(HLOOKUP(D27,$P$18:$S$20,3))*(1+$D$23)^(D27-1)</f>
        <v>0</v>
      </c>
      <c r="E35" s="15">
        <f t="shared" si="3"/>
        <v>43.38226666666667</v>
      </c>
      <c r="F35" s="15">
        <f t="shared" si="3"/>
        <v>68.977804</v>
      </c>
      <c r="G35" s="15">
        <f t="shared" si="3"/>
        <v>73.11647224000002</v>
      </c>
      <c r="H35" s="15">
        <f t="shared" si="3"/>
        <v>77.50346057440002</v>
      </c>
      <c r="I35" s="15">
        <f t="shared" si="3"/>
        <v>82.15366820886403</v>
      </c>
      <c r="J35" s="15">
        <f t="shared" si="3"/>
        <v>87.08288830139588</v>
      </c>
      <c r="K35" s="15">
        <f t="shared" si="3"/>
        <v>92.30786159947964</v>
      </c>
      <c r="L35" s="15">
        <f t="shared" si="3"/>
        <v>97.84633329544842</v>
      </c>
      <c r="M35" s="15">
        <f t="shared" si="3"/>
        <v>103.71711329317532</v>
      </c>
      <c r="N35" s="15">
        <f t="shared" si="3"/>
        <v>109.94014009076584</v>
      </c>
      <c r="O35" s="15">
        <f t="shared" si="3"/>
        <v>116.53654849621181</v>
      </c>
      <c r="P35" s="15">
        <f t="shared" si="3"/>
        <v>123.52874140598453</v>
      </c>
      <c r="Q35" s="15">
        <f t="shared" si="3"/>
        <v>130.9404658903436</v>
      </c>
      <c r="R35" s="15">
        <f t="shared" si="3"/>
        <v>138.79689384376422</v>
      </c>
      <c r="S35" s="105"/>
    </row>
    <row r="36" spans="2:19" ht="12.75">
      <c r="B36" s="28" t="s">
        <v>93</v>
      </c>
      <c r="C36" s="3"/>
      <c r="D36" s="16">
        <f>-D28+D34-D35</f>
        <v>-2092.6666666666665</v>
      </c>
      <c r="E36" s="16">
        <f>-E28+E34-E35</f>
        <v>-667.6522545279998</v>
      </c>
      <c r="F36" s="16">
        <f aca="true" t="shared" si="4" ref="F36:R36">-F28+F34-F35</f>
        <v>576.43957697216</v>
      </c>
      <c r="G36" s="16">
        <f t="shared" si="4"/>
        <v>584.869718751603</v>
      </c>
      <c r="H36" s="16">
        <f t="shared" si="4"/>
        <v>593.3029166370353</v>
      </c>
      <c r="I36" s="16">
        <f t="shared" si="4"/>
        <v>601.7292989467999</v>
      </c>
      <c r="J36" s="16">
        <f t="shared" si="4"/>
        <v>610.1382005973813</v>
      </c>
      <c r="K36" s="16">
        <f t="shared" si="4"/>
        <v>618.518111477273</v>
      </c>
      <c r="L36" s="16">
        <f t="shared" si="4"/>
        <v>626.8566216428393</v>
      </c>
      <c r="M36" s="16">
        <f t="shared" si="4"/>
        <v>635.1403631438783</v>
      </c>
      <c r="N36" s="16">
        <f t="shared" si="4"/>
        <v>643.3549482750287</v>
      </c>
      <c r="O36" s="16">
        <f t="shared" si="4"/>
        <v>651.4849040368986</v>
      </c>
      <c r="P36" s="16">
        <f t="shared" si="4"/>
        <v>659.5136025777882</v>
      </c>
      <c r="Q36" s="16">
        <f t="shared" si="4"/>
        <v>667.4231873731046</v>
      </c>
      <c r="R36" s="16">
        <f t="shared" si="4"/>
        <v>675.1944948849529</v>
      </c>
      <c r="S36" s="106"/>
    </row>
    <row r="37" spans="2:19" ht="12.75">
      <c r="B37" s="30"/>
      <c r="C37" s="3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06"/>
    </row>
    <row r="38" spans="2:19" ht="12.75">
      <c r="B38" s="30" t="s">
        <v>42</v>
      </c>
      <c r="C38" s="3"/>
      <c r="D38" s="11">
        <f>IF(D27&lt;MAX($D$19,$P$25),0,IF(D27&gt;(MAX($D$19,$P$25)+$P$23),0,$D$14/$P$23))</f>
        <v>0</v>
      </c>
      <c r="E38" s="11">
        <f aca="true" t="shared" si="5" ref="E38:R38">IF(E27&lt;MAX($D$19,$P$25),0,IF(E27&gt;(MAX($D$19,$P$25)+$P$23),0,$D$14/$P$23))</f>
        <v>156.95</v>
      </c>
      <c r="F38" s="11">
        <f t="shared" si="5"/>
        <v>156.95</v>
      </c>
      <c r="G38" s="11">
        <f t="shared" si="5"/>
        <v>156.95</v>
      </c>
      <c r="H38" s="11">
        <f t="shared" si="5"/>
        <v>156.95</v>
      </c>
      <c r="I38" s="11">
        <f t="shared" si="5"/>
        <v>156.95</v>
      </c>
      <c r="J38" s="11">
        <f t="shared" si="5"/>
        <v>156.95</v>
      </c>
      <c r="K38" s="11">
        <f t="shared" si="5"/>
        <v>156.95</v>
      </c>
      <c r="L38" s="11">
        <f t="shared" si="5"/>
        <v>156.95</v>
      </c>
      <c r="M38" s="11">
        <f t="shared" si="5"/>
        <v>156.95</v>
      </c>
      <c r="N38" s="11">
        <f t="shared" si="5"/>
        <v>156.95</v>
      </c>
      <c r="O38" s="11">
        <f t="shared" si="5"/>
        <v>156.95</v>
      </c>
      <c r="P38" s="11">
        <f t="shared" si="5"/>
        <v>156.95</v>
      </c>
      <c r="Q38" s="11">
        <f t="shared" si="5"/>
        <v>156.95</v>
      </c>
      <c r="R38" s="11">
        <f t="shared" si="5"/>
        <v>156.95</v>
      </c>
      <c r="S38" s="92"/>
    </row>
    <row r="39" spans="2:19" ht="12.75">
      <c r="B39" s="30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92"/>
    </row>
    <row r="40" spans="2:19" ht="12.75">
      <c r="B40" s="30" t="s">
        <v>44</v>
      </c>
      <c r="C40" s="6"/>
      <c r="D40" s="11">
        <f aca="true" t="shared" si="6" ref="D40:S40">IF(D27=CEILING($I$22,1)+1,-PMT($I$21,$I$23-$I$22,C43),IF(D27&lt;$I$23,C40,IF(D27=$I$23,C43+D41,0)))</f>
        <v>0</v>
      </c>
      <c r="E40" s="11">
        <f t="shared" si="6"/>
        <v>0</v>
      </c>
      <c r="F40" s="11">
        <f t="shared" si="6"/>
        <v>0</v>
      </c>
      <c r="G40" s="11">
        <f t="shared" si="6"/>
        <v>512.7799058812515</v>
      </c>
      <c r="H40" s="11">
        <f t="shared" si="6"/>
        <v>512.7799058812515</v>
      </c>
      <c r="I40" s="11">
        <f t="shared" si="6"/>
        <v>512.7799058812515</v>
      </c>
      <c r="J40" s="11">
        <f t="shared" si="6"/>
        <v>512.7799058812515</v>
      </c>
      <c r="K40" s="11">
        <f t="shared" si="6"/>
        <v>512.7799058812515</v>
      </c>
      <c r="L40" s="11">
        <f t="shared" si="6"/>
        <v>512.7799058812515</v>
      </c>
      <c r="M40" s="11">
        <f t="shared" si="6"/>
        <v>512.7799058812515</v>
      </c>
      <c r="N40" s="11">
        <f t="shared" si="6"/>
        <v>512.7799058812515</v>
      </c>
      <c r="O40" s="11">
        <f t="shared" si="6"/>
        <v>512.7799058812515</v>
      </c>
      <c r="P40" s="11">
        <f t="shared" si="6"/>
        <v>512.7799058812515</v>
      </c>
      <c r="Q40" s="11">
        <f t="shared" si="6"/>
        <v>512.7799058812515</v>
      </c>
      <c r="R40" s="11">
        <f t="shared" si="6"/>
        <v>512.7799058812512</v>
      </c>
      <c r="S40" s="92">
        <f t="shared" si="6"/>
        <v>0</v>
      </c>
    </row>
    <row r="41" spans="2:21" ht="12.75">
      <c r="B41" s="93" t="s">
        <v>45</v>
      </c>
      <c r="C41" s="3"/>
      <c r="D41" s="11">
        <f aca="true" t="shared" si="7" ref="D41:S41">C43*$I$21</f>
        <v>0</v>
      </c>
      <c r="E41" s="11">
        <f t="shared" si="7"/>
        <v>219.73</v>
      </c>
      <c r="F41" s="11">
        <f t="shared" si="7"/>
        <v>362.55449999999996</v>
      </c>
      <c r="G41" s="11">
        <f t="shared" si="7"/>
        <v>416.93767499999996</v>
      </c>
      <c r="H41" s="11">
        <f t="shared" si="7"/>
        <v>402.56134036781225</v>
      </c>
      <c r="I41" s="11">
        <f t="shared" si="7"/>
        <v>386.0285555407964</v>
      </c>
      <c r="J41" s="11">
        <f t="shared" si="7"/>
        <v>367.0158529897281</v>
      </c>
      <c r="K41" s="11">
        <f t="shared" si="7"/>
        <v>345.1512450559996</v>
      </c>
      <c r="L41" s="11">
        <f t="shared" si="7"/>
        <v>320.00694593221186</v>
      </c>
      <c r="M41" s="11">
        <f t="shared" si="7"/>
        <v>291.0910019398559</v>
      </c>
      <c r="N41" s="11">
        <f t="shared" si="7"/>
        <v>257.83766634864656</v>
      </c>
      <c r="O41" s="11">
        <f t="shared" si="7"/>
        <v>219.59633041875583</v>
      </c>
      <c r="P41" s="11">
        <f t="shared" si="7"/>
        <v>175.6187940993815</v>
      </c>
      <c r="Q41" s="11">
        <f t="shared" si="7"/>
        <v>125.04462733210099</v>
      </c>
      <c r="R41" s="11">
        <f t="shared" si="7"/>
        <v>66.88433554972842</v>
      </c>
      <c r="S41" s="92">
        <f t="shared" si="7"/>
        <v>0</v>
      </c>
      <c r="U41" s="17"/>
    </row>
    <row r="42" spans="2:19" ht="12.75">
      <c r="B42" s="93" t="s">
        <v>46</v>
      </c>
      <c r="C42" s="3"/>
      <c r="D42" s="11">
        <f aca="true" t="shared" si="8" ref="D42:S42">D40-D41</f>
        <v>0</v>
      </c>
      <c r="E42" s="11">
        <f t="shared" si="8"/>
        <v>-219.73</v>
      </c>
      <c r="F42" s="11">
        <f t="shared" si="8"/>
        <v>-362.55449999999996</v>
      </c>
      <c r="G42" s="11">
        <f t="shared" si="8"/>
        <v>95.84223088125151</v>
      </c>
      <c r="H42" s="11">
        <f t="shared" si="8"/>
        <v>110.21856551343922</v>
      </c>
      <c r="I42" s="11">
        <f t="shared" si="8"/>
        <v>126.75135034045508</v>
      </c>
      <c r="J42" s="11">
        <f t="shared" si="8"/>
        <v>145.76405289152336</v>
      </c>
      <c r="K42" s="11">
        <f t="shared" si="8"/>
        <v>167.62866082525187</v>
      </c>
      <c r="L42" s="11">
        <f t="shared" si="8"/>
        <v>192.7729599490396</v>
      </c>
      <c r="M42" s="11">
        <f t="shared" si="8"/>
        <v>221.68890394139555</v>
      </c>
      <c r="N42" s="11">
        <f t="shared" si="8"/>
        <v>254.9422395326049</v>
      </c>
      <c r="O42" s="11">
        <f t="shared" si="8"/>
        <v>293.18357546249564</v>
      </c>
      <c r="P42" s="11">
        <f t="shared" si="8"/>
        <v>337.16111178187</v>
      </c>
      <c r="Q42" s="11">
        <f t="shared" si="8"/>
        <v>387.7352785491505</v>
      </c>
      <c r="R42" s="11">
        <f t="shared" si="8"/>
        <v>445.89557033152283</v>
      </c>
      <c r="S42" s="92">
        <f t="shared" si="8"/>
        <v>0</v>
      </c>
    </row>
    <row r="43" spans="2:19" ht="12.75">
      <c r="B43" s="29" t="s">
        <v>47</v>
      </c>
      <c r="C43" s="6"/>
      <c r="D43" s="11">
        <f>D28*(1-$I$19)</f>
        <v>1464.8666666666666</v>
      </c>
      <c r="E43" s="11">
        <f>E28*(1-$I$19)+MAX(D43-E42,0)</f>
        <v>2417.0299999999997</v>
      </c>
      <c r="F43" s="11">
        <f aca="true" t="shared" si="9" ref="F43:S43">F28*(1-$I$19)+MAX(E43-F42,0)</f>
        <v>2779.5845</v>
      </c>
      <c r="G43" s="11">
        <f t="shared" si="9"/>
        <v>2683.7422691187485</v>
      </c>
      <c r="H43" s="11">
        <f t="shared" si="9"/>
        <v>2573.5237036053095</v>
      </c>
      <c r="I43" s="11">
        <f t="shared" si="9"/>
        <v>2446.7723532648542</v>
      </c>
      <c r="J43" s="11">
        <f t="shared" si="9"/>
        <v>2301.0083003733307</v>
      </c>
      <c r="K43" s="11">
        <f t="shared" si="9"/>
        <v>2133.379639548079</v>
      </c>
      <c r="L43" s="11">
        <f t="shared" si="9"/>
        <v>1940.6066795990394</v>
      </c>
      <c r="M43" s="11">
        <f t="shared" si="9"/>
        <v>1718.9177756576437</v>
      </c>
      <c r="N43" s="11">
        <f t="shared" si="9"/>
        <v>1463.9755361250388</v>
      </c>
      <c r="O43" s="11">
        <f t="shared" si="9"/>
        <v>1170.7919606625433</v>
      </c>
      <c r="P43" s="11">
        <f t="shared" si="9"/>
        <v>833.6308488806733</v>
      </c>
      <c r="Q43" s="11">
        <f t="shared" si="9"/>
        <v>445.8955703315228</v>
      </c>
      <c r="R43" s="11">
        <f t="shared" si="9"/>
        <v>0</v>
      </c>
      <c r="S43" s="92">
        <f t="shared" si="9"/>
        <v>0</v>
      </c>
    </row>
    <row r="44" spans="2:21" ht="12.75">
      <c r="B44" s="41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42"/>
      <c r="U44" s="18"/>
    </row>
    <row r="45" spans="2:19" ht="12.75">
      <c r="B45" s="75" t="s">
        <v>43</v>
      </c>
      <c r="C45" s="21"/>
      <c r="D45" s="15">
        <f>MAX(D36-D38-D41,0)*IF(D27&gt;$P$25,$P$24,0)</f>
        <v>0</v>
      </c>
      <c r="E45" s="15">
        <f aca="true" t="shared" si="10" ref="E45:R45">MAX(E36-E38-E41,0)*IF(E27&gt;$P$25,$P$24,0)</f>
        <v>0</v>
      </c>
      <c r="F45" s="15">
        <f t="shared" si="10"/>
        <v>17.08052309164802</v>
      </c>
      <c r="G45" s="15">
        <f t="shared" si="10"/>
        <v>3.29461312548093</v>
      </c>
      <c r="H45" s="15">
        <f t="shared" si="10"/>
        <v>10.137472880766921</v>
      </c>
      <c r="I45" s="15">
        <f t="shared" si="10"/>
        <v>17.625223021801048</v>
      </c>
      <c r="J45" s="15">
        <f t="shared" si="10"/>
        <v>25.851704282295973</v>
      </c>
      <c r="K45" s="15">
        <f t="shared" si="10"/>
        <v>34.925059926382026</v>
      </c>
      <c r="L45" s="15">
        <f t="shared" si="10"/>
        <v>44.969902713188226</v>
      </c>
      <c r="M45" s="15">
        <f t="shared" si="10"/>
        <v>56.12980836120671</v>
      </c>
      <c r="N45" s="15">
        <f t="shared" si="10"/>
        <v>68.57018457791465</v>
      </c>
      <c r="O45" s="15">
        <f t="shared" si="10"/>
        <v>82.48157208544282</v>
      </c>
      <c r="P45" s="15">
        <f t="shared" si="10"/>
        <v>98.08344254352203</v>
      </c>
      <c r="Q45" s="15">
        <f t="shared" si="10"/>
        <v>115.62856801230107</v>
      </c>
      <c r="R45" s="15">
        <f t="shared" si="10"/>
        <v>135.40804780056735</v>
      </c>
      <c r="S45" s="105">
        <f>MAX(S36-S38-S41,0)*IF(S27&gt;$P$25,$P$24,0)</f>
        <v>0</v>
      </c>
    </row>
    <row r="46" spans="2:19" ht="12.75">
      <c r="B46" s="30" t="s">
        <v>48</v>
      </c>
      <c r="C46" s="98">
        <f>IRR(D46:S46,0)</f>
        <v>0.21094112411027433</v>
      </c>
      <c r="D46" s="11">
        <f>D36-D40-D45+D31</f>
        <v>-627.8</v>
      </c>
      <c r="E46" s="11">
        <f>E36-E40-E45+E31</f>
        <v>64.78107880533344</v>
      </c>
      <c r="F46" s="11">
        <f aca="true" t="shared" si="11" ref="F46:R46">-(F28*$I$19)+F36-F40-F45</f>
        <v>559.359053880512</v>
      </c>
      <c r="G46" s="11">
        <f t="shared" si="11"/>
        <v>68.79519974487064</v>
      </c>
      <c r="H46" s="11">
        <f t="shared" si="11"/>
        <v>70.38553787501692</v>
      </c>
      <c r="I46" s="11">
        <f t="shared" si="11"/>
        <v>71.32417004374736</v>
      </c>
      <c r="J46" s="11">
        <f t="shared" si="11"/>
        <v>71.5065904338339</v>
      </c>
      <c r="K46" s="11">
        <f t="shared" si="11"/>
        <v>70.81314566963951</v>
      </c>
      <c r="L46" s="11">
        <f t="shared" si="11"/>
        <v>69.1068130483996</v>
      </c>
      <c r="M46" s="11">
        <f t="shared" si="11"/>
        <v>66.23064890142011</v>
      </c>
      <c r="N46" s="11">
        <f t="shared" si="11"/>
        <v>62.00485781586262</v>
      </c>
      <c r="O46" s="11">
        <f t="shared" si="11"/>
        <v>56.22342607020428</v>
      </c>
      <c r="P46" s="11">
        <f t="shared" si="11"/>
        <v>48.65025415301473</v>
      </c>
      <c r="Q46" s="11">
        <f t="shared" si="11"/>
        <v>39.01471347955207</v>
      </c>
      <c r="R46" s="11">
        <f t="shared" si="11"/>
        <v>27.006541203134276</v>
      </c>
      <c r="S46" s="92">
        <f>-(S28*$I$19)+S36-S40-S45</f>
        <v>0</v>
      </c>
    </row>
    <row r="47" spans="2:19" ht="12.75">
      <c r="B47" s="30" t="s">
        <v>49</v>
      </c>
      <c r="C47" s="3"/>
      <c r="D47" s="19">
        <f aca="true" t="shared" si="12" ref="D47:S47">IF(D40&gt;0,D36/D40,0)</f>
        <v>0</v>
      </c>
      <c r="E47" s="19">
        <f t="shared" si="12"/>
        <v>0</v>
      </c>
      <c r="F47" s="19">
        <f t="shared" si="12"/>
        <v>0</v>
      </c>
      <c r="G47" s="19">
        <f t="shared" si="12"/>
        <v>1.1405862672143123</v>
      </c>
      <c r="H47" s="19">
        <f t="shared" si="12"/>
        <v>1.1570323053462848</v>
      </c>
      <c r="I47" s="19">
        <f t="shared" si="12"/>
        <v>1.1734650520532433</v>
      </c>
      <c r="J47" s="19">
        <f t="shared" si="12"/>
        <v>1.1898637087754291</v>
      </c>
      <c r="K47" s="19">
        <f t="shared" si="12"/>
        <v>1.2062058290180118</v>
      </c>
      <c r="L47" s="19">
        <f t="shared" si="12"/>
        <v>1.222467211474557</v>
      </c>
      <c r="M47" s="19">
        <f t="shared" si="12"/>
        <v>1.2386217865778906</v>
      </c>
      <c r="N47" s="19">
        <f t="shared" si="12"/>
        <v>1.254641496080807</v>
      </c>
      <c r="O47" s="19">
        <f t="shared" si="12"/>
        <v>1.2704961652451494</v>
      </c>
      <c r="P47" s="19">
        <f t="shared" si="12"/>
        <v>1.2861533671924286</v>
      </c>
      <c r="Q47" s="19">
        <f t="shared" si="12"/>
        <v>1.301578278942282</v>
      </c>
      <c r="R47" s="19">
        <f t="shared" si="12"/>
        <v>1.316733528636579</v>
      </c>
      <c r="S47" s="107">
        <f t="shared" si="12"/>
        <v>0</v>
      </c>
    </row>
    <row r="48" spans="2:19" ht="12.75">
      <c r="B48" s="30"/>
      <c r="C48" s="20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06"/>
    </row>
    <row r="49" spans="2:19" ht="12.75">
      <c r="B49" s="94" t="s">
        <v>50</v>
      </c>
      <c r="C49" s="95"/>
      <c r="D49" s="33"/>
      <c r="E49" s="33"/>
      <c r="F49" s="95" t="s">
        <v>51</v>
      </c>
      <c r="G49" s="33"/>
      <c r="H49" s="33"/>
      <c r="I49" s="33"/>
      <c r="J49" s="33"/>
      <c r="K49" s="33"/>
      <c r="L49" s="33"/>
      <c r="M49" s="33"/>
      <c r="N49" s="44"/>
      <c r="O49" s="44"/>
      <c r="P49" s="44"/>
      <c r="Q49" s="44"/>
      <c r="R49" s="44"/>
      <c r="S49" s="108"/>
    </row>
    <row r="50" spans="2:5" ht="12.75">
      <c r="B50" s="6"/>
      <c r="C50" s="6"/>
      <c r="D50" s="6"/>
      <c r="E50" s="6"/>
    </row>
    <row r="51" ht="12.75">
      <c r="B51" s="22" t="s">
        <v>52</v>
      </c>
    </row>
  </sheetData>
  <sheetProtection/>
  <printOptions/>
  <pageMargins left="0.56" right="0.58" top="1" bottom="0.48" header="0.5" footer="0.5"/>
  <pageSetup horizontalDpi="300" verticalDpi="300" orientation="landscape" scale="70" r:id="rId1"/>
  <rowBreaks count="1" manualBreakCount="1">
    <brk id="49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KMR Infrastructure</dc:creator>
  <cp:keywords/>
  <dc:description/>
  <cp:lastModifiedBy>Chris Greacen</cp:lastModifiedBy>
  <dcterms:created xsi:type="dcterms:W3CDTF">2010-12-08T09:45:23Z</dcterms:created>
  <dcterms:modified xsi:type="dcterms:W3CDTF">2019-09-06T16:13:19Z</dcterms:modified>
  <cp:category/>
  <cp:version/>
  <cp:contentType/>
  <cp:contentStatus/>
</cp:coreProperties>
</file>